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<sst xmlns="http://schemas.openxmlformats.org/spreadsheetml/2006/main" count="124" uniqueCount="85">
  <si>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</si>
  <si>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</si>
  <si>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</si>
  <si>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</si>
  <si>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</si>
  <si>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</si>
  <si>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Procardia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</si>
  <si>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</si>
  <si>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</si>
  <si>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</si>
  <si>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</si>
  <si>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</si>
  <si>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</si>
  <si>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</si>
  <si>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Rheum - Care </t>
  </si>
  <si>
    <t>pag.2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</si>
  <si>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</si>
  <si>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</si>
  <si>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</si>
  <si>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</si>
  <si>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</si>
  <si>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</si>
  <si>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</si>
  <si>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</si>
  <si>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</si>
  <si>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</si>
  <si>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</si>
  <si>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</si>
  <si>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</si>
  <si>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</si>
  <si>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</si>
  <si>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Total</t>
  </si>
  <si>
    <t>Februarie</t>
  </si>
  <si>
    <t>Martie</t>
  </si>
  <si>
    <t>SC San</t>
  </si>
  <si>
    <t>Sylvan SRL</t>
  </si>
  <si>
    <t>Fundația</t>
  </si>
  <si>
    <t xml:space="preserve">Centru </t>
  </si>
  <si>
    <t>Medical SRL</t>
  </si>
  <si>
    <t xml:space="preserve"> SC Dora </t>
  </si>
  <si>
    <t>Medicals SRL</t>
  </si>
  <si>
    <t>SCM</t>
  </si>
  <si>
    <t xml:space="preserve">SC Centru </t>
  </si>
  <si>
    <t>Medical</t>
  </si>
  <si>
    <t>Top Med SRL</t>
  </si>
  <si>
    <t>SC Băile</t>
  </si>
  <si>
    <t>Sărate</t>
  </si>
  <si>
    <t>SRL</t>
  </si>
  <si>
    <t>Aprilie</t>
  </si>
  <si>
    <t>Mai</t>
  </si>
  <si>
    <t>Trim II</t>
  </si>
  <si>
    <t>An 2021</t>
  </si>
  <si>
    <t>Iunie</t>
  </si>
  <si>
    <t>Iulie</t>
  </si>
  <si>
    <t>August</t>
  </si>
  <si>
    <t>Septembrie</t>
  </si>
  <si>
    <t>Trim III</t>
  </si>
  <si>
    <t xml:space="preserve">Octombrie </t>
  </si>
  <si>
    <t>Noiembrie</t>
  </si>
  <si>
    <t>Decembrie</t>
  </si>
  <si>
    <t>Trim IV</t>
  </si>
  <si>
    <t>Aug-Dec</t>
  </si>
  <si>
    <t>Center</t>
  </si>
  <si>
    <t xml:space="preserve">SC </t>
  </si>
  <si>
    <t>Octombrie</t>
  </si>
  <si>
    <t>Psychobiomed</t>
  </si>
  <si>
    <t>Sem I 2021</t>
  </si>
  <si>
    <t xml:space="preserve">Sem I </t>
  </si>
  <si>
    <t>Sem II</t>
  </si>
  <si>
    <t>Sem II 2021</t>
  </si>
  <si>
    <t xml:space="preserve">Procardia </t>
  </si>
  <si>
    <t xml:space="preserve">SC  Reszana  </t>
  </si>
  <si>
    <t xml:space="preserve"> Sorela</t>
  </si>
  <si>
    <t>SC Sorel&amp;</t>
  </si>
  <si>
    <t>Health SRL</t>
  </si>
  <si>
    <t xml:space="preserve">                                </t>
  </si>
  <si>
    <t>Dim Sep</t>
  </si>
  <si>
    <t>Redis Oct</t>
  </si>
  <si>
    <t xml:space="preserve">                                                  </t>
  </si>
  <si>
    <t xml:space="preserve"> CMI Dr.
 Dabija </t>
  </si>
  <si>
    <t xml:space="preserve"> Dr. 
Komjatszegi </t>
  </si>
  <si>
    <t>pag.1</t>
  </si>
  <si>
    <t xml:space="preserve">     Anexa 3</t>
  </si>
  <si>
    <t xml:space="preserve">         Anexa 3</t>
  </si>
  <si>
    <t>Regularizare trim III 2021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</si>
</sst>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  <numFmt numFmtId="199" formatCode="[$-809]dd\ mmmm\ yyyy"/>
    <numFmt numFmtId="200" formatCode="0.0"/>
    <numFmt numFmtId="201" formatCode="_-* #,##0.000_-;\-* #,##0.000_-;_-* &quot;-&quot;???_-;_-@_-"/>
    <numFmt numFmtId="202" formatCode="_-* #,##0.0000_-;\-* #,##0.0000_-;_-* &quot;-&quot;????_-;_-@_-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1" fillId="33" borderId="10" xfId="55" applyFont="1" applyFill="1" applyBorder="1">
      <alignment/>
      <protection/>
    </xf>
    <xf numFmtId="4" fontId="1" fillId="33" borderId="10" xfId="55" applyNumberFormat="1" applyFont="1" applyFill="1" applyBorder="1">
      <alignment/>
      <protection/>
    </xf>
    <xf numFmtId="179" fontId="1" fillId="33" borderId="10" xfId="42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9" fontId="1" fillId="8" borderId="10" xfId="42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179" fontId="0" fillId="33" borderId="10" xfId="42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/>
    </xf>
    <xf numFmtId="4" fontId="0" fillId="33" borderId="10" xfId="55" applyNumberFormat="1" applyFont="1" applyFill="1" applyBorder="1">
      <alignment/>
      <protection/>
    </xf>
    <xf numFmtId="4" fontId="0" fillId="33" borderId="10" xfId="55" applyNumberFormat="1" applyFont="1" applyFill="1" applyBorder="1" applyAlignment="1">
      <alignment horizontal="right"/>
      <protection/>
    </xf>
    <xf numFmtId="198" fontId="1" fillId="33" borderId="10" xfId="0" applyNumberFormat="1" applyFont="1" applyFill="1" applyBorder="1" applyAlignment="1">
      <alignment/>
    </xf>
    <xf numFmtId="198" fontId="1" fillId="34" borderId="10" xfId="0" applyNumberFormat="1" applyFont="1" applyFill="1" applyBorder="1" applyAlignment="1">
      <alignment/>
    </xf>
    <xf numFmtId="197" fontId="1" fillId="34" borderId="10" xfId="0" applyNumberFormat="1" applyFont="1" applyFill="1" applyBorder="1" applyAlignment="1">
      <alignment/>
    </xf>
    <xf numFmtId="198" fontId="1" fillId="16" borderId="10" xfId="0" applyNumberFormat="1" applyFont="1" applyFill="1" applyBorder="1" applyAlignment="1">
      <alignment/>
    </xf>
    <xf numFmtId="4" fontId="1" fillId="16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10.140625" style="0" customWidth="1"/>
    <col min="2" max="2" width="12.8515625" style="0" customWidth="1"/>
    <col min="3" max="3" width="12.28125" style="0" customWidth="1"/>
    <col min="4" max="5" width="11.57421875" style="0" customWidth="1"/>
    <col min="6" max="6" width="11.140625" style="0" customWidth="1"/>
    <col min="7" max="7" width="11.57421875" style="0" customWidth="1"/>
    <col min="8" max="8" width="11.28125" style="0" customWidth="1"/>
    <col min="9" max="9" width="10.421875" style="0" customWidth="1"/>
    <col min="10" max="10" width="11.57421875" style="0" customWidth="1"/>
    <col min="11" max="11" width="11.00390625" style="0" customWidth="1"/>
    <col min="12" max="12" width="11.140625" style="0" customWidth="1"/>
    <col min="13" max="13" width="12.00390625" style="0" customWidth="1"/>
    <col min="14" max="14" width="11.421875" style="0" customWidth="1"/>
    <col min="15" max="15" width="11.57421875" style="0" customWidth="1"/>
    <col min="16" max="17" width="11.00390625" style="0" customWidth="1"/>
    <col min="18" max="19" width="11.8515625" style="0" customWidth="1"/>
    <col min="20" max="20" width="12.7109375" style="0" customWidth="1"/>
    <col min="21" max="21" width="11.00390625" style="0" customWidth="1"/>
    <col min="22" max="22" width="13.00390625" style="0" customWidth="1"/>
    <col min="23" max="23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2" ht="12.75">
      <c r="A2" s="1" t="s">
        <v>25</v>
      </c>
      <c r="B2" s="1"/>
      <c r="C2" s="1"/>
      <c r="H2" s="1"/>
      <c r="I2" s="1"/>
      <c r="J2" s="1"/>
      <c r="K2" s="1"/>
      <c r="L2" s="1" t="s">
        <v>26</v>
      </c>
      <c r="M2" s="1"/>
      <c r="N2" s="1"/>
      <c r="U2" s="1"/>
      <c r="V2" s="19"/>
    </row>
    <row r="3" spans="8:22" ht="12.75">
      <c r="H3" s="1"/>
      <c r="I3" s="1"/>
      <c r="J3" s="1"/>
      <c r="K3" s="1"/>
      <c r="U3" s="1"/>
      <c r="V3" s="1"/>
    </row>
    <row r="4" spans="8:22" ht="12.75">
      <c r="H4" s="1"/>
      <c r="I4" s="1"/>
      <c r="J4" s="1"/>
      <c r="K4" s="1"/>
      <c r="U4" s="1"/>
      <c r="V4" s="1"/>
    </row>
    <row r="5" spans="1:22" ht="13.5" thickBot="1">
      <c r="A5" s="1" t="s">
        <v>84</v>
      </c>
      <c r="B5" s="1"/>
      <c r="C5" s="1"/>
      <c r="D5" s="1"/>
      <c r="E5" s="3"/>
      <c r="F5" s="3"/>
      <c r="G5" s="3"/>
      <c r="H5" s="3"/>
      <c r="J5" s="3"/>
      <c r="K5" s="5" t="s">
        <v>82</v>
      </c>
      <c r="L5" s="1" t="s">
        <v>84</v>
      </c>
      <c r="M5" s="1"/>
      <c r="N5" s="1"/>
      <c r="O5" s="1"/>
      <c r="P5" s="1"/>
      <c r="Q5" s="1"/>
      <c r="R5" s="1"/>
      <c r="S5" s="1"/>
      <c r="T5" s="5"/>
      <c r="U5" s="3"/>
      <c r="V5" s="5" t="s">
        <v>83</v>
      </c>
    </row>
    <row r="6" spans="1:22" ht="38.25">
      <c r="A6" s="33"/>
      <c r="B6" s="34" t="s">
        <v>28</v>
      </c>
      <c r="C6" s="34" t="s">
        <v>30</v>
      </c>
      <c r="D6" s="61" t="s">
        <v>79</v>
      </c>
      <c r="E6" s="34" t="s">
        <v>39</v>
      </c>
      <c r="F6" s="35" t="s">
        <v>5</v>
      </c>
      <c r="G6" s="35" t="s">
        <v>36</v>
      </c>
      <c r="H6" s="34" t="s">
        <v>34</v>
      </c>
      <c r="I6" s="34" t="s">
        <v>41</v>
      </c>
      <c r="J6" s="51" t="s">
        <v>42</v>
      </c>
      <c r="K6" s="34" t="s">
        <v>45</v>
      </c>
      <c r="L6" s="36"/>
      <c r="M6" s="34" t="s">
        <v>71</v>
      </c>
      <c r="N6" s="34" t="s">
        <v>73</v>
      </c>
      <c r="O6" s="34" t="s">
        <v>17</v>
      </c>
      <c r="P6" s="34" t="s">
        <v>19</v>
      </c>
      <c r="Q6" s="53" t="s">
        <v>22</v>
      </c>
      <c r="R6" s="43" t="s">
        <v>65</v>
      </c>
      <c r="S6" s="43" t="s">
        <v>63</v>
      </c>
      <c r="T6" s="40" t="s">
        <v>12</v>
      </c>
      <c r="U6" s="62" t="s">
        <v>80</v>
      </c>
      <c r="V6" s="34" t="s">
        <v>31</v>
      </c>
    </row>
    <row r="7" spans="1:22" ht="12.75">
      <c r="A7" s="33"/>
      <c r="B7" s="34" t="s">
        <v>27</v>
      </c>
      <c r="C7" s="34" t="s">
        <v>29</v>
      </c>
      <c r="D7" s="34" t="s">
        <v>8</v>
      </c>
      <c r="E7" s="34" t="s">
        <v>40</v>
      </c>
      <c r="F7" s="34" t="s">
        <v>37</v>
      </c>
      <c r="G7" s="35" t="s">
        <v>14</v>
      </c>
      <c r="H7" s="34" t="s">
        <v>35</v>
      </c>
      <c r="I7" s="34" t="s">
        <v>6</v>
      </c>
      <c r="J7" s="51" t="s">
        <v>43</v>
      </c>
      <c r="K7" s="34" t="s">
        <v>46</v>
      </c>
      <c r="L7" s="36"/>
      <c r="M7" s="34" t="s">
        <v>9</v>
      </c>
      <c r="N7" s="34" t="s">
        <v>72</v>
      </c>
      <c r="O7" s="34" t="s">
        <v>18</v>
      </c>
      <c r="P7" s="34" t="s">
        <v>20</v>
      </c>
      <c r="Q7" s="53" t="s">
        <v>24</v>
      </c>
      <c r="R7" s="44" t="s">
        <v>62</v>
      </c>
      <c r="S7" s="44" t="s">
        <v>70</v>
      </c>
      <c r="T7" s="40" t="s">
        <v>13</v>
      </c>
      <c r="U7" s="36"/>
      <c r="V7" s="34">
        <v>2021</v>
      </c>
    </row>
    <row r="8" spans="1:22" ht="13.5" thickBot="1">
      <c r="A8" s="36">
        <v>2021</v>
      </c>
      <c r="B8" s="34" t="s">
        <v>7</v>
      </c>
      <c r="C8" s="34" t="s">
        <v>0</v>
      </c>
      <c r="D8" s="37"/>
      <c r="E8" s="48"/>
      <c r="F8" s="34" t="s">
        <v>38</v>
      </c>
      <c r="G8" s="38"/>
      <c r="H8" s="48"/>
      <c r="I8" s="33"/>
      <c r="J8" s="51" t="s">
        <v>44</v>
      </c>
      <c r="K8" s="34" t="s">
        <v>47</v>
      </c>
      <c r="L8" s="36">
        <v>2021</v>
      </c>
      <c r="M8" s="34" t="s">
        <v>47</v>
      </c>
      <c r="N8" s="34" t="s">
        <v>47</v>
      </c>
      <c r="O8" s="48"/>
      <c r="P8" s="34" t="s">
        <v>21</v>
      </c>
      <c r="Q8" s="53" t="s">
        <v>23</v>
      </c>
      <c r="R8" s="45" t="s">
        <v>47</v>
      </c>
      <c r="S8" s="45" t="s">
        <v>74</v>
      </c>
      <c r="T8" s="41"/>
      <c r="U8" s="33"/>
      <c r="V8" s="33"/>
    </row>
    <row r="9" spans="1:22" ht="12.75">
      <c r="A9" s="4"/>
      <c r="B9" s="6"/>
      <c r="C9" s="6"/>
      <c r="D9" s="7"/>
      <c r="E9" s="49"/>
      <c r="F9" s="50"/>
      <c r="G9" s="50"/>
      <c r="H9" s="50"/>
      <c r="I9" s="2"/>
      <c r="J9" s="50"/>
      <c r="K9" s="2"/>
      <c r="L9" s="4"/>
      <c r="M9" s="49"/>
      <c r="N9" s="50"/>
      <c r="O9" s="49"/>
      <c r="P9" s="6"/>
      <c r="Q9" s="6"/>
      <c r="R9" s="42"/>
      <c r="S9" s="42"/>
      <c r="T9" s="7"/>
      <c r="U9" s="2"/>
      <c r="V9" s="2"/>
    </row>
    <row r="10" spans="1:22" ht="12.75">
      <c r="A10" s="2"/>
      <c r="B10" s="6" t="s">
        <v>10</v>
      </c>
      <c r="C10" s="6" t="s">
        <v>10</v>
      </c>
      <c r="D10" s="6" t="s">
        <v>10</v>
      </c>
      <c r="E10" s="6" t="s">
        <v>10</v>
      </c>
      <c r="F10" s="4" t="s">
        <v>10</v>
      </c>
      <c r="G10" s="6" t="s">
        <v>10</v>
      </c>
      <c r="H10" s="4" t="s">
        <v>10</v>
      </c>
      <c r="I10" s="4" t="s">
        <v>10</v>
      </c>
      <c r="J10" s="4" t="s">
        <v>10</v>
      </c>
      <c r="K10" s="6" t="s">
        <v>10</v>
      </c>
      <c r="L10" s="4"/>
      <c r="M10" s="20" t="s">
        <v>1</v>
      </c>
      <c r="N10" s="20" t="s">
        <v>1</v>
      </c>
      <c r="O10" s="20" t="s">
        <v>1</v>
      </c>
      <c r="P10" s="20" t="s">
        <v>1</v>
      </c>
      <c r="Q10" s="20" t="s">
        <v>1</v>
      </c>
      <c r="R10" s="20"/>
      <c r="S10" s="20"/>
      <c r="T10" s="20" t="s">
        <v>10</v>
      </c>
      <c r="U10" s="20" t="s">
        <v>11</v>
      </c>
      <c r="V10" s="6" t="s">
        <v>11</v>
      </c>
    </row>
    <row r="11" spans="1:23" ht="12.75">
      <c r="A11" s="8" t="s">
        <v>3</v>
      </c>
      <c r="B11" s="46">
        <f>50451.24-22456.74</f>
        <v>27994.499999999996</v>
      </c>
      <c r="C11" s="46">
        <f>14952.59-22.59</f>
        <v>14930</v>
      </c>
      <c r="D11" s="46">
        <f>13729.5-6.5</f>
        <v>13723</v>
      </c>
      <c r="E11" s="46">
        <f>7709.98-26.98</f>
        <v>7683</v>
      </c>
      <c r="F11" s="46">
        <f>17351.04-5.04</f>
        <v>17346</v>
      </c>
      <c r="G11" s="46">
        <f>24882.32-27.32</f>
        <v>24855</v>
      </c>
      <c r="H11" s="46">
        <f>10518.34-342.34</f>
        <v>10176</v>
      </c>
      <c r="I11" s="46">
        <f>62830.4-15584.9</f>
        <v>47245.5</v>
      </c>
      <c r="J11" s="46">
        <f>23315.2-5.2</f>
        <v>23310</v>
      </c>
      <c r="K11" s="46">
        <f>37170.36-15.36</f>
        <v>37155</v>
      </c>
      <c r="L11" s="8" t="s">
        <v>3</v>
      </c>
      <c r="M11" s="52">
        <f>65339.08-3833.08</f>
        <v>61506</v>
      </c>
      <c r="N11" s="52">
        <f>11575.24-22.24</f>
        <v>11553</v>
      </c>
      <c r="O11" s="52">
        <f>17244.68-294.68</f>
        <v>16950</v>
      </c>
      <c r="P11" s="52">
        <f>14955.12-27.12</f>
        <v>14928</v>
      </c>
      <c r="Q11" s="52">
        <f>69373.92-187.92</f>
        <v>69186</v>
      </c>
      <c r="R11" s="52"/>
      <c r="S11" s="52"/>
      <c r="T11" s="52">
        <f>P43+N11+M11+K11+J11+I11+H11+G11+F11+E11+D11+C11+B11+O11+P11+Q11</f>
        <v>398541</v>
      </c>
      <c r="U11" s="52">
        <f>2601-371</f>
        <v>2230</v>
      </c>
      <c r="V11" s="52">
        <f>T11+U11</f>
        <v>400771</v>
      </c>
      <c r="W11" s="10"/>
    </row>
    <row r="12" spans="1:23" ht="12.75">
      <c r="A12" s="8" t="s">
        <v>32</v>
      </c>
      <c r="B12" s="46">
        <v>45982.5</v>
      </c>
      <c r="C12" s="46">
        <v>9862</v>
      </c>
      <c r="D12" s="46">
        <f>13729.5+6.5</f>
        <v>13736</v>
      </c>
      <c r="E12" s="46">
        <v>7524</v>
      </c>
      <c r="F12" s="46">
        <v>17352</v>
      </c>
      <c r="G12" s="46">
        <v>24885</v>
      </c>
      <c r="H12" s="46">
        <v>10072</v>
      </c>
      <c r="I12" s="46">
        <v>71111.5</v>
      </c>
      <c r="J12" s="46">
        <v>23250</v>
      </c>
      <c r="K12" s="46">
        <v>37179</v>
      </c>
      <c r="L12" s="8" t="s">
        <v>32</v>
      </c>
      <c r="M12" s="52">
        <v>69156</v>
      </c>
      <c r="N12" s="52">
        <v>11580</v>
      </c>
      <c r="O12" s="52">
        <v>17254.5</v>
      </c>
      <c r="P12" s="52">
        <v>14862</v>
      </c>
      <c r="Q12" s="52">
        <v>69558</v>
      </c>
      <c r="R12" s="52"/>
      <c r="S12" s="52"/>
      <c r="T12" s="52">
        <f>B12+C12+D12+E12+F12+G12+H12+I12+J12+K12+M12+N12+O12+P12+Q12-0.02</f>
        <v>443364.48</v>
      </c>
      <c r="U12" s="52">
        <v>1338</v>
      </c>
      <c r="V12" s="52">
        <f>T12+U12</f>
        <v>444702.48</v>
      </c>
      <c r="W12" s="10"/>
    </row>
    <row r="13" spans="1:23" ht="12.75">
      <c r="A13" s="8" t="s">
        <v>33</v>
      </c>
      <c r="B13" s="46">
        <f>76946.02-26185.02</f>
        <v>50761</v>
      </c>
      <c r="C13" s="46">
        <f>19852.74-5238.24</f>
        <v>14614.500000000002</v>
      </c>
      <c r="D13" s="46">
        <f>13623.84-20.84</f>
        <v>13603</v>
      </c>
      <c r="E13" s="46">
        <f>7821.28-123.28</f>
        <v>7698</v>
      </c>
      <c r="F13" s="46">
        <f>16079.14-29.14</f>
        <v>16050</v>
      </c>
      <c r="G13" s="46">
        <f>24560.66-20.66</f>
        <v>24540</v>
      </c>
      <c r="H13" s="46">
        <f>11172.38-1250.38</f>
        <v>9922</v>
      </c>
      <c r="I13" s="46">
        <f>69197.26-25.26</f>
        <v>69172</v>
      </c>
      <c r="J13" s="46">
        <f>23054.94-135.94</f>
        <v>22919</v>
      </c>
      <c r="K13" s="46">
        <f>37310.16-17.16</f>
        <v>37293</v>
      </c>
      <c r="L13" s="8" t="s">
        <v>33</v>
      </c>
      <c r="M13" s="52">
        <f>67023.8-3.8</f>
        <v>67020</v>
      </c>
      <c r="N13" s="52">
        <f>11434.42-34.42</f>
        <v>11400</v>
      </c>
      <c r="O13" s="52">
        <f>17298-22.5</f>
        <v>17275.5</v>
      </c>
      <c r="P13" s="52">
        <f>14867.44-5.44</f>
        <v>14862</v>
      </c>
      <c r="Q13" s="52">
        <f>70990.8-4.8</f>
        <v>70986</v>
      </c>
      <c r="R13" s="52"/>
      <c r="S13" s="52"/>
      <c r="T13" s="52">
        <f>P45+N13+M13+K13+J13+I13+H13+G13+F13+E13+D13+C13+B13+O13+P13+Q13</f>
        <v>448116</v>
      </c>
      <c r="U13" s="52">
        <f>4235-2490</f>
        <v>1745</v>
      </c>
      <c r="V13" s="52">
        <f>T13+U13</f>
        <v>449861</v>
      </c>
      <c r="W13" s="10"/>
    </row>
    <row r="14" spans="1:23" ht="12.75">
      <c r="A14" s="24" t="s">
        <v>2</v>
      </c>
      <c r="B14" s="25">
        <f>B11+B12+B13</f>
        <v>124738</v>
      </c>
      <c r="C14" s="25">
        <f aca="true" t="shared" si="0" ref="C14:K14">C11+C12+C13</f>
        <v>39406.5</v>
      </c>
      <c r="D14" s="25">
        <f t="shared" si="0"/>
        <v>41062</v>
      </c>
      <c r="E14" s="25">
        <f t="shared" si="0"/>
        <v>22905</v>
      </c>
      <c r="F14" s="25">
        <f t="shared" si="0"/>
        <v>50748</v>
      </c>
      <c r="G14" s="25">
        <f t="shared" si="0"/>
        <v>74280</v>
      </c>
      <c r="H14" s="25">
        <f t="shared" si="0"/>
        <v>30170</v>
      </c>
      <c r="I14" s="25">
        <f t="shared" si="0"/>
        <v>187529</v>
      </c>
      <c r="J14" s="25">
        <f t="shared" si="0"/>
        <v>69479</v>
      </c>
      <c r="K14" s="25">
        <f t="shared" si="0"/>
        <v>111627</v>
      </c>
      <c r="L14" s="25" t="s">
        <v>2</v>
      </c>
      <c r="M14" s="26">
        <f aca="true" t="shared" si="1" ref="M14:V14">M11+M12+M13</f>
        <v>197682</v>
      </c>
      <c r="N14" s="26">
        <f t="shared" si="1"/>
        <v>34533</v>
      </c>
      <c r="O14" s="26">
        <f t="shared" si="1"/>
        <v>51480</v>
      </c>
      <c r="P14" s="26">
        <f t="shared" si="1"/>
        <v>44652</v>
      </c>
      <c r="Q14" s="26">
        <f t="shared" si="1"/>
        <v>209730</v>
      </c>
      <c r="R14" s="26"/>
      <c r="S14" s="26"/>
      <c r="T14" s="26">
        <f t="shared" si="1"/>
        <v>1290021.48</v>
      </c>
      <c r="U14" s="26">
        <f t="shared" si="1"/>
        <v>5313</v>
      </c>
      <c r="V14" s="26">
        <f t="shared" si="1"/>
        <v>1295334.48</v>
      </c>
      <c r="W14" s="10"/>
    </row>
    <row r="15" spans="1:23" ht="12.75">
      <c r="A15" s="8" t="s">
        <v>48</v>
      </c>
      <c r="B15" s="46">
        <f>49752.16+26185.02-29809.18</f>
        <v>46128.00000000001</v>
      </c>
      <c r="C15" s="46">
        <f>14695.56+5238.24-4763.3</f>
        <v>15170.5</v>
      </c>
      <c r="D15" s="46">
        <f>13579.88+20.84-3.72</f>
        <v>13597</v>
      </c>
      <c r="E15" s="46">
        <f>7577.1+123.28-98.38</f>
        <v>7602</v>
      </c>
      <c r="F15" s="46">
        <f>17051.56+29.14-16.7</f>
        <v>17064</v>
      </c>
      <c r="G15" s="46">
        <f>24454.18+20.66-51.84</f>
        <v>24423</v>
      </c>
      <c r="H15" s="46">
        <f>10336.84+1250.38-1099.22</f>
        <v>10488.000000000002</v>
      </c>
      <c r="I15" s="46">
        <f>63233.76+25.26-21.02</f>
        <v>63238.00000000001</v>
      </c>
      <c r="J15" s="46">
        <f>22914.32+135.94-343.76</f>
        <v>22706.5</v>
      </c>
      <c r="K15" s="46">
        <f>37146.98+17.16-3.14</f>
        <v>37161.00000000001</v>
      </c>
      <c r="L15" s="27" t="s">
        <v>48</v>
      </c>
      <c r="M15" s="52">
        <f>66849.36+3.8-9369.16</f>
        <v>57484</v>
      </c>
      <c r="N15" s="52">
        <f>11376.06+34.42-25.48</f>
        <v>11385</v>
      </c>
      <c r="O15" s="52">
        <f>16947.68-2210.91+22.5-18.77</f>
        <v>14740.5</v>
      </c>
      <c r="P15" s="52">
        <f>14697.84+5.44-21.28</f>
        <v>14682</v>
      </c>
      <c r="Q15" s="52">
        <f>70815.04+4.8-1015.84</f>
        <v>69804</v>
      </c>
      <c r="R15" s="52"/>
      <c r="S15" s="52"/>
      <c r="T15" s="52">
        <f>B15+C15+D15+E15+F15+G15+H15+I15+J15+K15+M15+N15+O15+P15+Q15</f>
        <v>425673.5</v>
      </c>
      <c r="U15" s="52">
        <f>2601+2490-4059</f>
        <v>1032</v>
      </c>
      <c r="V15" s="52">
        <f>T15+U15</f>
        <v>426705.5</v>
      </c>
      <c r="W15" s="10"/>
    </row>
    <row r="16" spans="1:23" ht="12.75">
      <c r="A16" s="8" t="s">
        <v>49</v>
      </c>
      <c r="B16" s="46">
        <f>49752.16+29809.18-33288.34</f>
        <v>46273</v>
      </c>
      <c r="C16" s="46">
        <f>14695.56+4763.3-3304.36</f>
        <v>16154.5</v>
      </c>
      <c r="D16" s="46">
        <f>13579.88+3.72-22.1</f>
        <v>13561.499999999998</v>
      </c>
      <c r="E16" s="46">
        <f>7577.1+98.38-31.48</f>
        <v>7644.000000000001</v>
      </c>
      <c r="F16" s="46">
        <f>17051.56+16.7-28.26</f>
        <v>17040.000000000004</v>
      </c>
      <c r="G16" s="46">
        <f>24454.18+51.84-38.02</f>
        <v>24468</v>
      </c>
      <c r="H16" s="46">
        <f>10336.84+1099.22-1050.06</f>
        <v>10386</v>
      </c>
      <c r="I16" s="46">
        <f>63233.76+21.02-1658.78</f>
        <v>61596</v>
      </c>
      <c r="J16" s="46">
        <f>22914.32+343.76-622.58</f>
        <v>22635.499999999996</v>
      </c>
      <c r="K16" s="46">
        <f>37146.98+3.14-4.1</f>
        <v>37146.020000000004</v>
      </c>
      <c r="L16" s="27" t="s">
        <v>49</v>
      </c>
      <c r="M16" s="52">
        <f>66849.36+9369.16-15.52</f>
        <v>76203</v>
      </c>
      <c r="N16" s="52">
        <f>11376.06+25.48-16.54</f>
        <v>11384.999999999998</v>
      </c>
      <c r="O16" s="52">
        <f>16947.68-2284.63+18.77-2340.3</f>
        <v>12341.52</v>
      </c>
      <c r="P16" s="52">
        <f>14697.84+21.28-25.12</f>
        <v>14694</v>
      </c>
      <c r="Q16" s="52">
        <f>70815.04+1015.84-28.88</f>
        <v>71801.99999999999</v>
      </c>
      <c r="R16" s="52"/>
      <c r="S16" s="52"/>
      <c r="T16" s="52">
        <f>B16+C16+D16+E16+F16+G16+H16+I16+J16+K16+M16+N16+O16+P16+Q16</f>
        <v>443330.04000000004</v>
      </c>
      <c r="U16" s="52">
        <f>2601+4059-5488</f>
        <v>1172</v>
      </c>
      <c r="V16" s="52">
        <f>T16+U16</f>
        <v>444502.04000000004</v>
      </c>
      <c r="W16" s="10"/>
    </row>
    <row r="17" spans="1:23" ht="12.75">
      <c r="A17" s="30" t="s">
        <v>52</v>
      </c>
      <c r="B17" s="54">
        <f>50563.59+33288.34-26833.43</f>
        <v>57018.49999999999</v>
      </c>
      <c r="C17" s="54">
        <f>14917.94+3304.36-2426.3</f>
        <v>15796</v>
      </c>
      <c r="D17" s="54">
        <f>13787+22.1-19.6</f>
        <v>13789.5</v>
      </c>
      <c r="E17" s="54">
        <f>7695.95+31.48-5.43</f>
        <v>7721.999999999999</v>
      </c>
      <c r="F17" s="54">
        <f>17324.84+28.26-103.1</f>
        <v>17250</v>
      </c>
      <c r="G17" s="54">
        <f>24828.5+38.02-26.52</f>
        <v>24840</v>
      </c>
      <c r="H17" s="54">
        <f>10501.09+1050.06-1027.15</f>
        <v>10524</v>
      </c>
      <c r="I17" s="54">
        <f>64172.16+1658.78-7828.94</f>
        <v>58002</v>
      </c>
      <c r="J17" s="54">
        <f>23261.88+622.58-1268.46</f>
        <v>22616.000000000004</v>
      </c>
      <c r="K17" s="54">
        <f>37731.26+4.1-20.36</f>
        <v>37715</v>
      </c>
      <c r="L17" s="31" t="s">
        <v>52</v>
      </c>
      <c r="M17" s="55">
        <f>67840.79+15.52-2.31</f>
        <v>67854</v>
      </c>
      <c r="N17" s="55">
        <f>11551.49+16.54-18.03</f>
        <v>11550</v>
      </c>
      <c r="O17" s="55">
        <f>14927.98+2340.3-897.28</f>
        <v>16370.999999999998</v>
      </c>
      <c r="P17" s="55">
        <f>14922.9+25.12-2.02</f>
        <v>14946</v>
      </c>
      <c r="Q17" s="55">
        <f>71867.17+28.88-4.05</f>
        <v>71892</v>
      </c>
      <c r="R17" s="55"/>
      <c r="S17" s="55"/>
      <c r="T17" s="55">
        <f>Q17+P17+O17+N17+M17+K17+J17+I17+H17+G17+F17+E17+D17+C17+B17</f>
        <v>447886</v>
      </c>
      <c r="U17" s="55">
        <f>2601+5488-6139</f>
        <v>1950</v>
      </c>
      <c r="V17" s="55">
        <f>T17+U17</f>
        <v>449836</v>
      </c>
      <c r="W17" s="10"/>
    </row>
    <row r="18" spans="1:23" ht="12.75">
      <c r="A18" s="24" t="s">
        <v>50</v>
      </c>
      <c r="B18" s="28">
        <f aca="true" t="shared" si="2" ref="B18:K18">B15+B16+B17</f>
        <v>149419.5</v>
      </c>
      <c r="C18" s="28">
        <f t="shared" si="2"/>
        <v>47121</v>
      </c>
      <c r="D18" s="28">
        <f t="shared" si="2"/>
        <v>40948</v>
      </c>
      <c r="E18" s="28">
        <f t="shared" si="2"/>
        <v>22968</v>
      </c>
      <c r="F18" s="28">
        <f t="shared" si="2"/>
        <v>51354</v>
      </c>
      <c r="G18" s="28">
        <f t="shared" si="2"/>
        <v>73731</v>
      </c>
      <c r="H18" s="28">
        <f t="shared" si="2"/>
        <v>31398</v>
      </c>
      <c r="I18" s="28">
        <f t="shared" si="2"/>
        <v>182836</v>
      </c>
      <c r="J18" s="28">
        <f t="shared" si="2"/>
        <v>67958</v>
      </c>
      <c r="K18" s="28">
        <f t="shared" si="2"/>
        <v>112022.02000000002</v>
      </c>
      <c r="L18" s="28" t="s">
        <v>50</v>
      </c>
      <c r="M18" s="29">
        <f aca="true" t="shared" si="3" ref="M18:V18">M15+M16+M17</f>
        <v>201541</v>
      </c>
      <c r="N18" s="29">
        <f t="shared" si="3"/>
        <v>34320</v>
      </c>
      <c r="O18" s="29">
        <f t="shared" si="3"/>
        <v>43453.02</v>
      </c>
      <c r="P18" s="29">
        <f t="shared" si="3"/>
        <v>44322</v>
      </c>
      <c r="Q18" s="29">
        <f t="shared" si="3"/>
        <v>213498</v>
      </c>
      <c r="R18" s="29"/>
      <c r="S18" s="29"/>
      <c r="T18" s="29">
        <f t="shared" si="3"/>
        <v>1316889.54</v>
      </c>
      <c r="U18" s="29">
        <f t="shared" si="3"/>
        <v>4154</v>
      </c>
      <c r="V18" s="29">
        <f t="shared" si="3"/>
        <v>1321043.54</v>
      </c>
      <c r="W18" s="10"/>
    </row>
    <row r="19" spans="1:23" ht="12.75">
      <c r="A19" s="24" t="s">
        <v>66</v>
      </c>
      <c r="B19" s="28">
        <f>B14+B18</f>
        <v>274157.5</v>
      </c>
      <c r="C19" s="28">
        <f>C14+C18</f>
        <v>86527.5</v>
      </c>
      <c r="D19" s="28">
        <f aca="true" t="shared" si="4" ref="D19:K19">D14+D18</f>
        <v>82010</v>
      </c>
      <c r="E19" s="28">
        <f t="shared" si="4"/>
        <v>45873</v>
      </c>
      <c r="F19" s="28">
        <f t="shared" si="4"/>
        <v>102102</v>
      </c>
      <c r="G19" s="28">
        <f t="shared" si="4"/>
        <v>148011</v>
      </c>
      <c r="H19" s="28">
        <f t="shared" si="4"/>
        <v>61568</v>
      </c>
      <c r="I19" s="28">
        <f t="shared" si="4"/>
        <v>370365</v>
      </c>
      <c r="J19" s="28">
        <f t="shared" si="4"/>
        <v>137437</v>
      </c>
      <c r="K19" s="28">
        <f t="shared" si="4"/>
        <v>223649.02000000002</v>
      </c>
      <c r="L19" s="28" t="s">
        <v>67</v>
      </c>
      <c r="M19" s="29">
        <f>M14+M18</f>
        <v>399223</v>
      </c>
      <c r="N19" s="29">
        <f>N14+N18</f>
        <v>68853</v>
      </c>
      <c r="O19" s="29">
        <f aca="true" t="shared" si="5" ref="O19:V19">O14+O18</f>
        <v>94933.01999999999</v>
      </c>
      <c r="P19" s="29">
        <f t="shared" si="5"/>
        <v>88974</v>
      </c>
      <c r="Q19" s="29">
        <f t="shared" si="5"/>
        <v>423228</v>
      </c>
      <c r="R19" s="29">
        <f t="shared" si="5"/>
        <v>0</v>
      </c>
      <c r="S19" s="29">
        <f t="shared" si="5"/>
        <v>0</v>
      </c>
      <c r="T19" s="29">
        <f t="shared" si="5"/>
        <v>2606911.02</v>
      </c>
      <c r="U19" s="29">
        <f t="shared" si="5"/>
        <v>9467</v>
      </c>
      <c r="V19" s="29">
        <f t="shared" si="5"/>
        <v>2616378.02</v>
      </c>
      <c r="W19" s="10"/>
    </row>
    <row r="20" spans="1:23" ht="12.75">
      <c r="A20" s="8" t="s">
        <v>53</v>
      </c>
      <c r="B20" s="47">
        <f>49956.02+26833.43-24952.45</f>
        <v>51837</v>
      </c>
      <c r="C20" s="47">
        <f>14708.32+2426.3-2312.62</f>
        <v>14822</v>
      </c>
      <c r="D20" s="47">
        <f>13582.93+19.6-14.53</f>
        <v>13588</v>
      </c>
      <c r="E20" s="47">
        <f>7630.51+5.43-27.94</f>
        <v>7608.000000000001</v>
      </c>
      <c r="F20" s="47">
        <f>17108.19+103.1-21.29</f>
        <v>17189.999999999996</v>
      </c>
      <c r="G20" s="47">
        <f>24487.02+26.52-9.54</f>
        <v>24504</v>
      </c>
      <c r="H20" s="47">
        <f>10553.29+1027.15-693.44</f>
        <v>10887</v>
      </c>
      <c r="I20" s="47">
        <f>64703.45+7828.94-22506.39</f>
        <v>50026</v>
      </c>
      <c r="J20" s="47">
        <f>22936.4+1268.46-1676.86</f>
        <v>22528</v>
      </c>
      <c r="K20" s="47">
        <f>37240.03+20.36-17.39</f>
        <v>37243</v>
      </c>
      <c r="L20" s="28" t="s">
        <v>53</v>
      </c>
      <c r="M20" s="52">
        <f>66851.19+2.31-817.5</f>
        <v>66036</v>
      </c>
      <c r="N20" s="52">
        <f>11395.11+18.03-3.14</f>
        <v>11410.000000000002</v>
      </c>
      <c r="O20" s="52">
        <f>14706.05+897.28-4858.33</f>
        <v>10745</v>
      </c>
      <c r="P20" s="52">
        <f>14717.86+2.02-1.88</f>
        <v>14718.000000000002</v>
      </c>
      <c r="Q20" s="52">
        <f>70822.61+4.05-2.66</f>
        <v>70824</v>
      </c>
      <c r="R20" s="52"/>
      <c r="S20" s="52"/>
      <c r="T20" s="52">
        <f>B20+C20+D20+E20+F20+G20+H20+I20+J20+K20+M20+N20+O20+P20+Q20</f>
        <v>423966</v>
      </c>
      <c r="U20" s="52">
        <f>2601+6139-6995</f>
        <v>1745</v>
      </c>
      <c r="V20" s="46">
        <f>T20+U20</f>
        <v>425711</v>
      </c>
      <c r="W20" s="10"/>
    </row>
    <row r="21" spans="1:23" ht="12.75">
      <c r="A21" s="8" t="s">
        <v>54</v>
      </c>
      <c r="B21" s="47">
        <f>49963.2-1208.76+24952.45-33452.39</f>
        <v>40254.5</v>
      </c>
      <c r="C21" s="47">
        <f>15461.48-134.32+2312.62-2009.28</f>
        <v>15630.499999999998</v>
      </c>
      <c r="D21" s="47">
        <f>14634.48+14.53-243.01</f>
        <v>14406</v>
      </c>
      <c r="E21" s="47">
        <f>10958.44+27.94-6.38</f>
        <v>10980.000000000002</v>
      </c>
      <c r="F21" s="47">
        <f>15072.18+21.29-513.47</f>
        <v>14580.000000000002</v>
      </c>
      <c r="G21" s="47">
        <f>26699.18+9.54-28.72</f>
        <v>26680</v>
      </c>
      <c r="H21" s="47">
        <f>10220.64+693.44-810.08</f>
        <v>10104</v>
      </c>
      <c r="I21" s="47"/>
      <c r="J21" s="47">
        <f>26958.34+1676.86-2785.2</f>
        <v>25850</v>
      </c>
      <c r="K21" s="47">
        <f>45479.34+17.39-24.73</f>
        <v>45471.99999999999</v>
      </c>
      <c r="L21" s="28" t="s">
        <v>54</v>
      </c>
      <c r="M21" s="52">
        <f>69622.78+817.5-6160.28</f>
        <v>64280</v>
      </c>
      <c r="N21" s="52">
        <f>12054.56+3.14-27.7</f>
        <v>12029.999999999998</v>
      </c>
      <c r="O21" s="52">
        <f>16078.24+4858.33-10993.07</f>
        <v>9943.5</v>
      </c>
      <c r="P21" s="52">
        <f>15623.04+1.88-150.92</f>
        <v>15474</v>
      </c>
      <c r="Q21" s="52">
        <f>74622+2.66-4136.66</f>
        <v>70488</v>
      </c>
      <c r="R21" s="52">
        <f>34500.14-22788.14</f>
        <v>11712</v>
      </c>
      <c r="S21" s="52">
        <f>59450.96-22.96</f>
        <v>59428</v>
      </c>
      <c r="T21" s="52">
        <f>B21+C21+D21+E21+F21+G21+H21+J21+K21+M21+N21+O21+P21+Q21+R21+S21</f>
        <v>447312.5</v>
      </c>
      <c r="U21" s="52">
        <f>2601+6995-8297</f>
        <v>1299</v>
      </c>
      <c r="V21" s="46">
        <f>T21+U21</f>
        <v>448611.5</v>
      </c>
      <c r="W21" s="10"/>
    </row>
    <row r="22" spans="1:23" ht="12.75">
      <c r="A22" s="8" t="s">
        <v>55</v>
      </c>
      <c r="B22" s="47">
        <f>49963.2-1338.37+33452.39-49798.22</f>
        <v>32279</v>
      </c>
      <c r="C22" s="47">
        <f>15461.48-148.71+2009.28-2382.55</f>
        <v>14939.5</v>
      </c>
      <c r="D22" s="47">
        <f>14634.48+243.01-9.49</f>
        <v>14868</v>
      </c>
      <c r="E22" s="47">
        <f>10958.44+6.38-110.82</f>
        <v>10854</v>
      </c>
      <c r="F22" s="47">
        <f>15072.18+513.47-1029.65</f>
        <v>14556</v>
      </c>
      <c r="G22" s="47">
        <f>26699.18+28.72-27.9</f>
        <v>26700</v>
      </c>
      <c r="H22" s="47">
        <f>10220.64+810.08-710.72</f>
        <v>10320</v>
      </c>
      <c r="I22" s="47"/>
      <c r="J22" s="47">
        <f>26958.34+2785.2-2782.54</f>
        <v>26961</v>
      </c>
      <c r="K22" s="47">
        <f>45479.34+24.73-10.07</f>
        <v>45494</v>
      </c>
      <c r="L22" s="28" t="s">
        <v>55</v>
      </c>
      <c r="M22" s="52">
        <f>69622.78+6160.28-647.06</f>
        <v>75136</v>
      </c>
      <c r="N22" s="52">
        <f>12054.56+27.7-26.26</f>
        <v>12056</v>
      </c>
      <c r="O22" s="52">
        <f>16078.24+10993.07-11651.81</f>
        <v>15419.499999999998</v>
      </c>
      <c r="P22" s="52">
        <f>15623.04+150.92-59.96</f>
        <v>15714.000000000002</v>
      </c>
      <c r="Q22" s="52">
        <f>74622+4136.66-2.66</f>
        <v>78756</v>
      </c>
      <c r="R22" s="52">
        <f>34500.14+22788.14-40956.28</f>
        <v>16332</v>
      </c>
      <c r="S22" s="52">
        <f>59450.96+22.96-2685.92</f>
        <v>56788</v>
      </c>
      <c r="T22" s="52">
        <f>B22+C22+D22+E22+F22+G22+H22+J22+K22+M22+N22+O22+P22+Q22+R22+S22</f>
        <v>467173</v>
      </c>
      <c r="U22" s="52">
        <f>2601+8297-9368</f>
        <v>1530</v>
      </c>
      <c r="V22" s="46">
        <f>T22+U22</f>
        <v>468703</v>
      </c>
      <c r="W22" s="10"/>
    </row>
    <row r="23" spans="1:23" ht="12.75">
      <c r="A23" s="24" t="s">
        <v>56</v>
      </c>
      <c r="B23" s="39">
        <f>B20+B21+B22</f>
        <v>124370.5</v>
      </c>
      <c r="C23" s="39">
        <f>C20+C21+C22</f>
        <v>45392</v>
      </c>
      <c r="D23" s="39">
        <f aca="true" t="shared" si="6" ref="D23:V23">D20+D21+D22</f>
        <v>42862</v>
      </c>
      <c r="E23" s="39">
        <f t="shared" si="6"/>
        <v>29442.000000000004</v>
      </c>
      <c r="F23" s="39">
        <f t="shared" si="6"/>
        <v>46326</v>
      </c>
      <c r="G23" s="39">
        <f t="shared" si="6"/>
        <v>77884</v>
      </c>
      <c r="H23" s="39">
        <f t="shared" si="6"/>
        <v>31311</v>
      </c>
      <c r="I23" s="39">
        <f t="shared" si="6"/>
        <v>50026</v>
      </c>
      <c r="J23" s="39">
        <f t="shared" si="6"/>
        <v>75339</v>
      </c>
      <c r="K23" s="39">
        <f t="shared" si="6"/>
        <v>128209</v>
      </c>
      <c r="L23" s="39" t="s">
        <v>56</v>
      </c>
      <c r="M23" s="39">
        <f t="shared" si="6"/>
        <v>205452</v>
      </c>
      <c r="N23" s="39">
        <f t="shared" si="6"/>
        <v>35496</v>
      </c>
      <c r="O23" s="39">
        <f t="shared" si="6"/>
        <v>36108</v>
      </c>
      <c r="P23" s="39">
        <f t="shared" si="6"/>
        <v>45906</v>
      </c>
      <c r="Q23" s="39">
        <f t="shared" si="6"/>
        <v>220068</v>
      </c>
      <c r="R23" s="39">
        <f>R21+R22</f>
        <v>28044</v>
      </c>
      <c r="S23" s="39">
        <f>S21+S22</f>
        <v>116216</v>
      </c>
      <c r="T23" s="39">
        <f t="shared" si="6"/>
        <v>1338451.5</v>
      </c>
      <c r="U23" s="39">
        <f t="shared" si="6"/>
        <v>4574</v>
      </c>
      <c r="V23" s="39">
        <f t="shared" si="6"/>
        <v>1343025.5</v>
      </c>
      <c r="W23" s="10"/>
    </row>
    <row r="24" spans="1:23" ht="12.75">
      <c r="A24" s="8" t="s">
        <v>57</v>
      </c>
      <c r="B24" s="47">
        <f>49963.2-1338.37</f>
        <v>48624.829999999994</v>
      </c>
      <c r="C24" s="47">
        <f>15461.48-148.71</f>
        <v>15312.77</v>
      </c>
      <c r="D24" s="47">
        <f>14634.48+9590.86</f>
        <v>24225.34</v>
      </c>
      <c r="E24" s="47">
        <v>10958.44</v>
      </c>
      <c r="F24" s="47">
        <v>15072.18</v>
      </c>
      <c r="G24" s="47">
        <f>26699.18+17427.44</f>
        <v>44126.619999999995</v>
      </c>
      <c r="H24" s="47">
        <v>10220.64</v>
      </c>
      <c r="I24" s="47"/>
      <c r="J24" s="47">
        <v>26958.34</v>
      </c>
      <c r="K24" s="47">
        <f>45479.34+28688.23</f>
        <v>74167.56999999999</v>
      </c>
      <c r="L24" s="28" t="s">
        <v>64</v>
      </c>
      <c r="M24" s="52">
        <v>69622.78</v>
      </c>
      <c r="N24" s="52">
        <f>12054.56+7942.64</f>
        <v>19997.2</v>
      </c>
      <c r="O24" s="52">
        <f>16078.24-1355.45</f>
        <v>14722.789999999999</v>
      </c>
      <c r="P24" s="52">
        <v>15623.04</v>
      </c>
      <c r="Q24" s="52">
        <f>74622+49242.74</f>
        <v>123864.73999999999</v>
      </c>
      <c r="R24" s="52">
        <v>34500.14</v>
      </c>
      <c r="S24" s="52">
        <v>59450.96</v>
      </c>
      <c r="T24" s="52">
        <f>B24+C24+D24+E24+F24+G24+H24+J24+K24+M24+N24+O24+P24+Q24+R24+S24</f>
        <v>607448.3799999999</v>
      </c>
      <c r="U24" s="52">
        <f>2601+9368</f>
        <v>11969</v>
      </c>
      <c r="V24" s="46">
        <f>T24+U24</f>
        <v>619417.3799999999</v>
      </c>
      <c r="W24" s="10"/>
    </row>
    <row r="25" spans="1:23" ht="12.75">
      <c r="A25" s="8" t="s">
        <v>58</v>
      </c>
      <c r="B25" s="47">
        <f>22892.2-1338.37</f>
        <v>21553.83</v>
      </c>
      <c r="C25" s="47">
        <f>7084.16-148.71</f>
        <v>6935.45</v>
      </c>
      <c r="D25" s="47">
        <v>6705.24</v>
      </c>
      <c r="E25" s="47">
        <v>5020.98</v>
      </c>
      <c r="F25" s="47">
        <v>6905.78</v>
      </c>
      <c r="G25" s="47">
        <v>12233.06</v>
      </c>
      <c r="H25" s="47">
        <v>4682.9</v>
      </c>
      <c r="I25" s="47"/>
      <c r="J25" s="47">
        <v>12351.78</v>
      </c>
      <c r="K25" s="47">
        <v>20837.84</v>
      </c>
      <c r="L25" s="28" t="s">
        <v>58</v>
      </c>
      <c r="M25" s="52">
        <v>31899.84</v>
      </c>
      <c r="N25" s="52">
        <v>5523.16</v>
      </c>
      <c r="O25" s="52">
        <f>7366.76-1355.45</f>
        <v>6011.31</v>
      </c>
      <c r="P25" s="52">
        <v>7158.12</v>
      </c>
      <c r="Q25" s="52">
        <v>34190.48</v>
      </c>
      <c r="R25" s="52">
        <v>15807.34</v>
      </c>
      <c r="S25" s="52">
        <v>27239.36</v>
      </c>
      <c r="T25" s="52">
        <f>B25+C25+D25+E25+F25+G25+H25+J25+K25+M25+N25+O25+P25+Q25+R25+S25</f>
        <v>225056.46999999997</v>
      </c>
      <c r="U25" s="52">
        <v>2601</v>
      </c>
      <c r="V25" s="46">
        <f>T25+U25</f>
        <v>227657.46999999997</v>
      </c>
      <c r="W25" s="10"/>
    </row>
    <row r="26" spans="1:23" ht="12.75">
      <c r="A26" s="8" t="s">
        <v>59</v>
      </c>
      <c r="B26" s="47">
        <f>22892.2-1338.37</f>
        <v>21553.83</v>
      </c>
      <c r="C26" s="47">
        <f>7084.16-148.71</f>
        <v>6935.45</v>
      </c>
      <c r="D26" s="47">
        <v>6705.24</v>
      </c>
      <c r="E26" s="47">
        <v>5020.98</v>
      </c>
      <c r="F26" s="47">
        <v>6905.78</v>
      </c>
      <c r="G26" s="47">
        <v>12233.06</v>
      </c>
      <c r="H26" s="47">
        <v>4682.9</v>
      </c>
      <c r="I26" s="47"/>
      <c r="J26" s="47">
        <v>12351.78</v>
      </c>
      <c r="K26" s="47">
        <v>20837.84</v>
      </c>
      <c r="L26" s="28" t="s">
        <v>59</v>
      </c>
      <c r="M26" s="52">
        <v>31899.84</v>
      </c>
      <c r="N26" s="52">
        <v>5523.16</v>
      </c>
      <c r="O26" s="52">
        <f>7366.76-1355.47</f>
        <v>6011.29</v>
      </c>
      <c r="P26" s="52">
        <v>7158.12</v>
      </c>
      <c r="Q26" s="52">
        <v>34190.48</v>
      </c>
      <c r="R26" s="52">
        <v>15807.34</v>
      </c>
      <c r="S26" s="52">
        <v>27239.36</v>
      </c>
      <c r="T26" s="52">
        <f>B26+C26+D26+E26+F26+G26+H26+J26+K26+M26+N26+O26+P26+Q26+R26+S26</f>
        <v>225056.45</v>
      </c>
      <c r="U26" s="52">
        <v>2601</v>
      </c>
      <c r="V26" s="46">
        <f>T26+U26</f>
        <v>227657.45</v>
      </c>
      <c r="W26" s="10"/>
    </row>
    <row r="27" spans="1:23" ht="12.75">
      <c r="A27" s="24" t="s">
        <v>60</v>
      </c>
      <c r="B27" s="39">
        <f>B24+B25+B26</f>
        <v>91732.49</v>
      </c>
      <c r="C27" s="39">
        <f>C24+C26+C26</f>
        <v>29183.670000000002</v>
      </c>
      <c r="D27" s="39">
        <f>D24+D25+D26</f>
        <v>37635.82</v>
      </c>
      <c r="E27" s="39">
        <f>E24+E26+E25</f>
        <v>21000.4</v>
      </c>
      <c r="F27" s="39">
        <f>F24+F25+F26</f>
        <v>28883.739999999998</v>
      </c>
      <c r="G27" s="39">
        <f>G24+G26+G26</f>
        <v>68592.73999999999</v>
      </c>
      <c r="H27" s="39">
        <f>H24+H25+H26</f>
        <v>19586.44</v>
      </c>
      <c r="I27" s="39">
        <f>I24+I26</f>
        <v>0</v>
      </c>
      <c r="J27" s="39">
        <f>J24+J25+J26</f>
        <v>51661.9</v>
      </c>
      <c r="K27" s="39">
        <f>K24+K26+K25</f>
        <v>115843.24999999999</v>
      </c>
      <c r="L27" s="39" t="s">
        <v>60</v>
      </c>
      <c r="M27" s="39">
        <f>M24+M26+M26</f>
        <v>133422.46</v>
      </c>
      <c r="N27" s="39">
        <f>N24+N25+N26</f>
        <v>31043.52</v>
      </c>
      <c r="O27" s="39">
        <f>O24+O26+O26</f>
        <v>26745.37</v>
      </c>
      <c r="P27" s="39">
        <f>P24+P25+P26</f>
        <v>29939.28</v>
      </c>
      <c r="Q27" s="39">
        <f>Q24+Q26+Q26</f>
        <v>192245.7</v>
      </c>
      <c r="R27" s="39">
        <f>R24+R25+R26</f>
        <v>66114.81999999999</v>
      </c>
      <c r="S27" s="39">
        <f>S24+S25+S26</f>
        <v>113929.68000000001</v>
      </c>
      <c r="T27" s="39">
        <f>T24+T25+T26</f>
        <v>1057561.2999999998</v>
      </c>
      <c r="U27" s="39">
        <f>U24+U26+U26</f>
        <v>17171</v>
      </c>
      <c r="V27" s="39">
        <f>V24+V25+V26</f>
        <v>1074732.2999999998</v>
      </c>
      <c r="W27" s="10"/>
    </row>
    <row r="28" spans="1:23" ht="12.75">
      <c r="A28" s="24" t="s">
        <v>68</v>
      </c>
      <c r="B28" s="39">
        <f>B23+B27</f>
        <v>216102.99</v>
      </c>
      <c r="C28" s="39">
        <f>C23+C27</f>
        <v>74575.67</v>
      </c>
      <c r="D28" s="39">
        <f aca="true" t="shared" si="7" ref="D28:V28">D23+D27</f>
        <v>80497.82</v>
      </c>
      <c r="E28" s="39">
        <f t="shared" si="7"/>
        <v>50442.40000000001</v>
      </c>
      <c r="F28" s="39">
        <f t="shared" si="7"/>
        <v>75209.73999999999</v>
      </c>
      <c r="G28" s="39">
        <f t="shared" si="7"/>
        <v>146476.74</v>
      </c>
      <c r="H28" s="39">
        <f t="shared" si="7"/>
        <v>50897.44</v>
      </c>
      <c r="I28" s="39">
        <f t="shared" si="7"/>
        <v>50026</v>
      </c>
      <c r="J28" s="39">
        <f t="shared" si="7"/>
        <v>127000.9</v>
      </c>
      <c r="K28" s="39">
        <f t="shared" si="7"/>
        <v>244052.25</v>
      </c>
      <c r="L28" s="39" t="s">
        <v>69</v>
      </c>
      <c r="M28" s="39">
        <f t="shared" si="7"/>
        <v>338874.45999999996</v>
      </c>
      <c r="N28" s="39">
        <f t="shared" si="7"/>
        <v>66539.52</v>
      </c>
      <c r="O28" s="39">
        <f t="shared" si="7"/>
        <v>62853.369999999995</v>
      </c>
      <c r="P28" s="39">
        <f t="shared" si="7"/>
        <v>75845.28</v>
      </c>
      <c r="Q28" s="39">
        <f t="shared" si="7"/>
        <v>412313.7</v>
      </c>
      <c r="R28" s="39">
        <f t="shared" si="7"/>
        <v>94158.81999999999</v>
      </c>
      <c r="S28" s="39">
        <f t="shared" si="7"/>
        <v>230145.68</v>
      </c>
      <c r="T28" s="39">
        <f t="shared" si="7"/>
        <v>2396012.8</v>
      </c>
      <c r="U28" s="39">
        <f t="shared" si="7"/>
        <v>21745</v>
      </c>
      <c r="V28" s="39">
        <f t="shared" si="7"/>
        <v>2417757.8</v>
      </c>
      <c r="W28" s="10"/>
    </row>
    <row r="29" spans="1:23" ht="12.75">
      <c r="A29" s="8" t="s">
        <v>61</v>
      </c>
      <c r="B29" s="32">
        <f>B21+B22+B27</f>
        <v>164265.99</v>
      </c>
      <c r="C29" s="32">
        <f>C21+C22+C27</f>
        <v>59753.67</v>
      </c>
      <c r="D29" s="32">
        <f aca="true" t="shared" si="8" ref="D29:V29">D21+D22+D27</f>
        <v>66909.82</v>
      </c>
      <c r="E29" s="32">
        <f t="shared" si="8"/>
        <v>42834.4</v>
      </c>
      <c r="F29" s="32">
        <f t="shared" si="8"/>
        <v>58019.74</v>
      </c>
      <c r="G29" s="32">
        <f t="shared" si="8"/>
        <v>121972.73999999999</v>
      </c>
      <c r="H29" s="32">
        <f t="shared" si="8"/>
        <v>40010.44</v>
      </c>
      <c r="I29" s="32">
        <f t="shared" si="8"/>
        <v>0</v>
      </c>
      <c r="J29" s="32">
        <f t="shared" si="8"/>
        <v>104472.9</v>
      </c>
      <c r="K29" s="32">
        <f t="shared" si="8"/>
        <v>206809.25</v>
      </c>
      <c r="L29" s="32" t="s">
        <v>61</v>
      </c>
      <c r="M29" s="32">
        <f t="shared" si="8"/>
        <v>272838.45999999996</v>
      </c>
      <c r="N29" s="32">
        <f t="shared" si="8"/>
        <v>55129.520000000004</v>
      </c>
      <c r="O29" s="32">
        <f t="shared" si="8"/>
        <v>52108.369999999995</v>
      </c>
      <c r="P29" s="32">
        <f t="shared" si="8"/>
        <v>61127.28</v>
      </c>
      <c r="Q29" s="32">
        <f t="shared" si="8"/>
        <v>341489.7</v>
      </c>
      <c r="R29" s="32">
        <f>R21+R22+R27</f>
        <v>94158.81999999999</v>
      </c>
      <c r="S29" s="32">
        <f>S21+S22+S27</f>
        <v>230145.68</v>
      </c>
      <c r="T29" s="32">
        <f t="shared" si="8"/>
        <v>1972046.7999999998</v>
      </c>
      <c r="U29" s="32">
        <f t="shared" si="8"/>
        <v>20000</v>
      </c>
      <c r="V29" s="32">
        <f t="shared" si="8"/>
        <v>1992046.7999999998</v>
      </c>
      <c r="W29" s="10"/>
    </row>
    <row r="30" spans="1:23" ht="15.75" customHeight="1">
      <c r="A30" s="24" t="s">
        <v>51</v>
      </c>
      <c r="B30" s="28">
        <f>B14+B18+B23+B27</f>
        <v>490260.49</v>
      </c>
      <c r="C30" s="28">
        <f>C14+C18+C23+C27</f>
        <v>161103.17</v>
      </c>
      <c r="D30" s="28">
        <f aca="true" t="shared" si="9" ref="D30:V30">D14+D18+D23+D27</f>
        <v>162507.82</v>
      </c>
      <c r="E30" s="28">
        <f t="shared" si="9"/>
        <v>96315.4</v>
      </c>
      <c r="F30" s="28">
        <f t="shared" si="9"/>
        <v>177311.74</v>
      </c>
      <c r="G30" s="28">
        <f t="shared" si="9"/>
        <v>294487.74</v>
      </c>
      <c r="H30" s="28">
        <f t="shared" si="9"/>
        <v>112465.44</v>
      </c>
      <c r="I30" s="28">
        <f t="shared" si="9"/>
        <v>420391</v>
      </c>
      <c r="J30" s="28">
        <f t="shared" si="9"/>
        <v>264437.9</v>
      </c>
      <c r="K30" s="28">
        <f t="shared" si="9"/>
        <v>467701.27</v>
      </c>
      <c r="L30" s="28" t="s">
        <v>51</v>
      </c>
      <c r="M30" s="28">
        <f t="shared" si="9"/>
        <v>738097.46</v>
      </c>
      <c r="N30" s="28">
        <f t="shared" si="9"/>
        <v>135392.52</v>
      </c>
      <c r="O30" s="28">
        <f>O14+O18+O23+O27-0.02</f>
        <v>157786.37</v>
      </c>
      <c r="P30" s="28">
        <f t="shared" si="9"/>
        <v>164819.28</v>
      </c>
      <c r="Q30" s="28">
        <f t="shared" si="9"/>
        <v>835541.7</v>
      </c>
      <c r="R30" s="28">
        <f>R23+R27</f>
        <v>94158.81999999999</v>
      </c>
      <c r="S30" s="28">
        <f>S23+S27</f>
        <v>230145.68</v>
      </c>
      <c r="T30" s="28">
        <f t="shared" si="9"/>
        <v>5002923.82</v>
      </c>
      <c r="U30" s="28">
        <f t="shared" si="9"/>
        <v>31212</v>
      </c>
      <c r="V30" s="28">
        <f t="shared" si="9"/>
        <v>5034135.82</v>
      </c>
      <c r="W30" s="10"/>
    </row>
    <row r="31" spans="1:23" ht="15.75" customHeight="1">
      <c r="A31" s="24" t="s">
        <v>76</v>
      </c>
      <c r="B31" s="56">
        <v>-49798.22</v>
      </c>
      <c r="C31" s="56">
        <v>-2382.55</v>
      </c>
      <c r="D31" s="59">
        <v>-9.49</v>
      </c>
      <c r="E31" s="56">
        <v>-110.82</v>
      </c>
      <c r="F31" s="56">
        <v>-1029.65</v>
      </c>
      <c r="G31" s="59">
        <v>-27.9</v>
      </c>
      <c r="H31" s="56">
        <v>-710.72</v>
      </c>
      <c r="I31" s="56"/>
      <c r="J31" s="56">
        <v>-2782.54</v>
      </c>
      <c r="K31" s="59">
        <v>-10.07</v>
      </c>
      <c r="L31" s="57" t="s">
        <v>76</v>
      </c>
      <c r="M31" s="56">
        <v>-647.06</v>
      </c>
      <c r="N31" s="59">
        <v>-26.26</v>
      </c>
      <c r="O31" s="56">
        <v>-11651.81</v>
      </c>
      <c r="P31" s="56">
        <v>-59.96</v>
      </c>
      <c r="Q31" s="59">
        <v>-2.66</v>
      </c>
      <c r="R31" s="56">
        <v>-40956.28</v>
      </c>
      <c r="S31" s="56">
        <v>-2685.92</v>
      </c>
      <c r="T31" s="56">
        <f>S31+R31+Q31+P31+O31+N31+M31+K31+J31+H31+G31+F31+E31+D31+C31+B31</f>
        <v>-112891.91</v>
      </c>
      <c r="U31" s="56">
        <v>-9368</v>
      </c>
      <c r="V31" s="58">
        <f>T31+U31</f>
        <v>-122259.91</v>
      </c>
      <c r="W31" s="10"/>
    </row>
    <row r="32" spans="1:23" ht="15.75" customHeight="1">
      <c r="A32" s="24" t="s">
        <v>77</v>
      </c>
      <c r="B32" s="27"/>
      <c r="C32" s="27"/>
      <c r="D32" s="60">
        <v>9590.86</v>
      </c>
      <c r="E32" s="27"/>
      <c r="F32" s="27"/>
      <c r="G32" s="60">
        <v>17427.44</v>
      </c>
      <c r="H32" s="27"/>
      <c r="I32" s="27"/>
      <c r="J32" s="27"/>
      <c r="K32" s="60">
        <v>28688.23</v>
      </c>
      <c r="L32" s="24" t="s">
        <v>77</v>
      </c>
      <c r="M32" s="27"/>
      <c r="N32" s="60">
        <v>7942.64</v>
      </c>
      <c r="O32" s="27"/>
      <c r="P32" s="27"/>
      <c r="Q32" s="60">
        <v>49242.74</v>
      </c>
      <c r="R32" s="27"/>
      <c r="S32" s="27"/>
      <c r="T32" s="27">
        <f>Q32+N32+K32+G32+D32</f>
        <v>112891.91</v>
      </c>
      <c r="U32" s="27">
        <v>9368</v>
      </c>
      <c r="V32" s="28">
        <f>T32+U32</f>
        <v>122259.91</v>
      </c>
      <c r="W32" s="10"/>
    </row>
    <row r="33" spans="1:22" ht="15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M33" s="23"/>
      <c r="N33" s="23"/>
      <c r="O33" s="23"/>
      <c r="P33" s="23"/>
      <c r="Q33" s="23"/>
      <c r="R33" s="23"/>
      <c r="S33" s="23"/>
      <c r="T33" s="23"/>
      <c r="U33" s="23"/>
      <c r="V33" s="10"/>
    </row>
    <row r="34" spans="1:22" ht="12.75">
      <c r="A34" s="1"/>
      <c r="B34" s="1"/>
      <c r="C34" s="1"/>
      <c r="G34" s="1"/>
      <c r="H34" s="1"/>
      <c r="I34" s="1"/>
      <c r="K34" s="1"/>
      <c r="L34" s="1"/>
      <c r="P34" s="1"/>
      <c r="Q34" s="1"/>
      <c r="R34" s="1"/>
      <c r="S34" s="1"/>
      <c r="T34" s="1"/>
      <c r="U34" s="1"/>
      <c r="V34" s="1"/>
    </row>
    <row r="35" spans="1:24" ht="12.75">
      <c r="A35" s="1"/>
      <c r="B35" s="1"/>
      <c r="C35" s="1"/>
      <c r="G35" s="1"/>
      <c r="H35" s="1"/>
      <c r="I35" s="1"/>
      <c r="K35" s="1"/>
      <c r="L35" s="1"/>
      <c r="P35" s="1"/>
      <c r="Q35" s="1"/>
      <c r="R35" s="1"/>
      <c r="S35" s="1"/>
      <c r="T35" s="1"/>
      <c r="U35" s="18"/>
      <c r="V35" s="1"/>
      <c r="X35" s="15"/>
    </row>
    <row r="36" spans="2:26" ht="12.75">
      <c r="B36" s="11"/>
      <c r="C36" s="11"/>
      <c r="D36" s="11"/>
      <c r="E36" s="10"/>
      <c r="G36" s="11"/>
      <c r="H36" s="11"/>
      <c r="I36" s="11"/>
      <c r="J36" s="10"/>
      <c r="K36" s="1"/>
      <c r="L36" s="11"/>
      <c r="M36" s="11"/>
      <c r="N36" s="10"/>
      <c r="O36" s="10"/>
      <c r="P36" s="10"/>
      <c r="Q36" s="10"/>
      <c r="R36" s="10"/>
      <c r="S36" s="11"/>
      <c r="T36" s="1"/>
      <c r="U36" s="12"/>
      <c r="W36" s="16"/>
      <c r="X36" s="15"/>
      <c r="Z36" s="5"/>
    </row>
    <row r="37" spans="2:24" ht="12.75">
      <c r="B37" s="11"/>
      <c r="C37" s="11"/>
      <c r="D37" s="1"/>
      <c r="E37" s="1"/>
      <c r="F37" s="1"/>
      <c r="G37" s="11"/>
      <c r="H37" s="11"/>
      <c r="I37" s="11"/>
      <c r="J37" s="10"/>
      <c r="K37" s="1"/>
      <c r="L37" s="1"/>
      <c r="M37" s="1"/>
      <c r="N37" s="5"/>
      <c r="R37" s="10"/>
      <c r="S37" s="11"/>
      <c r="T37" s="1"/>
      <c r="U37" s="12"/>
      <c r="W37" s="5"/>
      <c r="X37" s="5"/>
    </row>
    <row r="38" spans="4:24" ht="12.75">
      <c r="D38" s="1"/>
      <c r="E38" s="1"/>
      <c r="F38" s="1"/>
      <c r="I38" s="63"/>
      <c r="J38" s="63"/>
      <c r="L38" s="1"/>
      <c r="M38" s="1"/>
      <c r="N38" s="5"/>
      <c r="S38" s="1"/>
      <c r="T38" s="10"/>
      <c r="W38" s="5"/>
      <c r="X38" s="5"/>
    </row>
    <row r="39" ht="12.75">
      <c r="X39" s="5"/>
    </row>
    <row r="40" spans="1:8" ht="12.75">
      <c r="A40" s="14"/>
      <c r="G40" s="14"/>
      <c r="H40" s="10"/>
    </row>
    <row r="41" spans="1:22" ht="12.75">
      <c r="A41" s="14"/>
      <c r="C41" s="16"/>
      <c r="G41" s="14" t="s">
        <v>78</v>
      </c>
      <c r="T41" s="5"/>
      <c r="U41" s="5"/>
      <c r="V41" s="5"/>
    </row>
    <row r="42" spans="4:22" ht="12.75">
      <c r="D42" s="10"/>
      <c r="H42" s="1"/>
      <c r="I42" s="1"/>
      <c r="J42" s="1"/>
      <c r="K42" s="9"/>
      <c r="V42" s="9"/>
    </row>
    <row r="43" spans="10:20" ht="12.75">
      <c r="J43" s="9" t="s">
        <v>81</v>
      </c>
      <c r="P43" s="9"/>
      <c r="Q43" s="9"/>
      <c r="R43" s="9"/>
      <c r="S43" s="9"/>
      <c r="T43" s="17" t="s">
        <v>75</v>
      </c>
    </row>
    <row r="44" spans="2:30" ht="12.75">
      <c r="B44" s="9"/>
      <c r="V44" t="s">
        <v>15</v>
      </c>
      <c r="AD44" s="9"/>
    </row>
    <row r="45" spans="1:14" ht="12.75">
      <c r="A45" s="9"/>
      <c r="B45" s="9"/>
      <c r="N45" t="s">
        <v>16</v>
      </c>
    </row>
    <row r="46" ht="12.75">
      <c r="A46" s="9"/>
    </row>
    <row r="49" spans="20:21" ht="12.75">
      <c r="T49" s="13"/>
      <c r="U49" s="13"/>
    </row>
  </sheetData>
  <sheetProtection/>
  <printOptions/>
  <pageMargins left="0.31496062992125984" right="0.3937007874015748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suciu.alexandra</cp:lastModifiedBy>
  <cp:lastPrinted>2021-10-28T09:33:53Z</cp:lastPrinted>
  <dcterms:created xsi:type="dcterms:W3CDTF">1996-10-14T23:33:28Z</dcterms:created>
  <dcterms:modified xsi:type="dcterms:W3CDTF">2021-10-29T08:21:53Z</dcterms:modified>
  <cp:category/>
  <cp:version/>
  <cp:contentType/>
  <cp:contentStatus/>
</cp:coreProperties>
</file>